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janolavendrerud/Desktop/"/>
    </mc:Choice>
  </mc:AlternateContent>
  <xr:revisionPtr revIDLastSave="0" documentId="13_ncr:1_{23312A2F-1074-3E41-BEEA-C9CE833BF322}" xr6:coauthVersionLast="46" xr6:coauthVersionMax="46" xr10:uidLastSave="{00000000-0000-0000-0000-000000000000}"/>
  <bookViews>
    <workbookView xWindow="-38400" yWindow="-11780" windowWidth="38400" windowHeight="21600" xr2:uid="{00000000-000D-0000-FFFF-FFFF00000000}"/>
  </bookViews>
  <sheets>
    <sheet name="Calculation" sheetId="8" r:id="rId1"/>
  </sheets>
  <definedNames>
    <definedName name="_xlnm.Print_Area" localSheetId="0">Calculation!$A$2:$P$37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8" l="1"/>
  <c r="F30" i="8"/>
  <c r="E30" i="8"/>
  <c r="D30" i="8"/>
  <c r="B35" i="8"/>
  <c r="D36" i="8"/>
  <c r="E35" i="8"/>
  <c r="F35" i="8"/>
  <c r="D35" i="8"/>
  <c r="G30" i="8"/>
  <c r="C30" i="8"/>
  <c r="D37" i="8" l="1"/>
  <c r="C35" i="8"/>
  <c r="G32" i="8"/>
  <c r="G31" i="8"/>
  <c r="F26" i="8"/>
  <c r="E26" i="8"/>
  <c r="B13" i="8"/>
  <c r="B14" i="8" s="1"/>
  <c r="B15" i="8" s="1"/>
  <c r="B6" i="8"/>
  <c r="B5" i="8"/>
  <c r="C34" i="8" l="1"/>
  <c r="C36" i="8" s="1"/>
  <c r="C37" i="8" s="1"/>
  <c r="B34" i="8"/>
  <c r="G24" i="8"/>
  <c r="H24" i="8" s="1"/>
  <c r="G22" i="8"/>
  <c r="H22" i="8" s="1"/>
  <c r="G20" i="8"/>
  <c r="H20" i="8" s="1"/>
  <c r="G18" i="8"/>
  <c r="H18" i="8" s="1"/>
  <c r="G16" i="8"/>
  <c r="H16" i="8" s="1"/>
  <c r="G13" i="8"/>
  <c r="H13" i="8" s="1"/>
  <c r="G6" i="8"/>
  <c r="H6" i="8" s="1"/>
  <c r="G3" i="8"/>
  <c r="H3" i="8" s="1"/>
  <c r="G17" i="8"/>
  <c r="H17" i="8" s="1"/>
  <c r="G14" i="8"/>
  <c r="H14" i="8" s="1"/>
  <c r="G11" i="8"/>
  <c r="H11" i="8" s="1"/>
  <c r="G9" i="8"/>
  <c r="H9" i="8" s="1"/>
  <c r="G7" i="8"/>
  <c r="H7" i="8" s="1"/>
  <c r="G23" i="8"/>
  <c r="H23" i="8" s="1"/>
  <c r="G15" i="8"/>
  <c r="H15" i="8" s="1"/>
  <c r="G2" i="8"/>
  <c r="H2" i="8" s="1"/>
  <c r="G25" i="8"/>
  <c r="H25" i="8" s="1"/>
  <c r="G21" i="8"/>
  <c r="H21" i="8" s="1"/>
  <c r="G12" i="8"/>
  <c r="H12" i="8" s="1"/>
  <c r="G10" i="8"/>
  <c r="H10" i="8" s="1"/>
  <c r="G8" i="8"/>
  <c r="H8" i="8" s="1"/>
  <c r="G5" i="8"/>
  <c r="H5" i="8" s="1"/>
  <c r="G19" i="8"/>
  <c r="H19" i="8" s="1"/>
  <c r="G4" i="8"/>
  <c r="H4" i="8" s="1"/>
  <c r="E34" i="8"/>
  <c r="E36" i="8" s="1"/>
  <c r="E37" i="8" s="1"/>
  <c r="F34" i="8"/>
  <c r="F36" i="8" s="1"/>
  <c r="F37" i="8" s="1"/>
  <c r="B36" i="8" l="1"/>
  <c r="B37" i="8" s="1"/>
  <c r="H26" i="8"/>
  <c r="G33" i="8" s="1"/>
  <c r="G35" i="8" l="1"/>
  <c r="G34" i="8"/>
  <c r="G36" i="8" s="1"/>
  <c r="G37" i="8" l="1"/>
  <c r="G39" i="8" l="1"/>
  <c r="B39" i="8"/>
  <c r="D39" i="8"/>
  <c r="E39" i="8"/>
  <c r="C39" i="8"/>
  <c r="F39" i="8"/>
</calcChain>
</file>

<file path=xl/sharedStrings.xml><?xml version="1.0" encoding="utf-8"?>
<sst xmlns="http://schemas.openxmlformats.org/spreadsheetml/2006/main" count="44" uniqueCount="34">
  <si>
    <t>Input parameters</t>
  </si>
  <si>
    <t>Input</t>
  </si>
  <si>
    <t>Hour</t>
  </si>
  <si>
    <t>Volume</t>
  </si>
  <si>
    <t>Power</t>
  </si>
  <si>
    <t>Sec high</t>
  </si>
  <si>
    <t>% low</t>
  </si>
  <si>
    <t>Luminarie effect (W)</t>
  </si>
  <si>
    <t>Y</t>
  </si>
  <si>
    <t>Dim level max (%)</t>
  </si>
  <si>
    <t>Dim level min (%)</t>
  </si>
  <si>
    <t>High effect (W)</t>
  </si>
  <si>
    <t>Low effect (W)</t>
  </si>
  <si>
    <t>Number of luminaries</t>
  </si>
  <si>
    <t>Speed (km/h)</t>
  </si>
  <si>
    <t>Pole distance (m)</t>
  </si>
  <si>
    <t>Hold time (s)</t>
  </si>
  <si>
    <t>Forward count</t>
  </si>
  <si>
    <t>Time between poles (s)</t>
  </si>
  <si>
    <t>Time poleset (s)</t>
  </si>
  <si>
    <t>Time + hold (s)</t>
  </si>
  <si>
    <t>Grouping factor</t>
  </si>
  <si>
    <t>Avg dim</t>
  </si>
  <si>
    <t>Dim min %</t>
  </si>
  <si>
    <t>Dim max %</t>
  </si>
  <si>
    <t>Hours min hr</t>
  </si>
  <si>
    <t>Hours max hr</t>
  </si>
  <si>
    <t>Dim low kWh</t>
  </si>
  <si>
    <t>Dim high kWh</t>
  </si>
  <si>
    <t>Total kWh/yr</t>
  </si>
  <si>
    <t>Vehicles will not be equally spaced, some will occupy other cars light-wave.
0% -no grouping
10% - conservative
20% - normal
30% - heavy</t>
  </si>
  <si>
    <t>Free compare (Watt)</t>
  </si>
  <si>
    <t>AADT</t>
  </si>
  <si>
    <t>Comlight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</si>
</sst>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  <numFmt numFmtId="167" formatCode="_-* #,##0.0000000000_-;\-* #,##0.0000000000_-;_-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2">
    <xf numFmtId="0" fontId="0" fillId="0" borderId="0" xfId="0"/>
    <xf numFmtId="0" fontId="0" fillId="0" borderId="10" xfId="0" applyBorder="1"/>
    <xf numFmtId="20" fontId="0" fillId="0" borderId="10" xfId="0" applyNumberFormat="1" applyBorder="1"/>
    <xf numFmtId="164" fontId="0" fillId="0" borderId="10" xfId="0" applyNumberFormat="1" applyBorder="1"/>
    <xf numFmtId="164" fontId="0" fillId="0" borderId="0" xfId="1" applyNumberFormat="1" applyFont="1" applyAlignment="1">
      <alignment horizontal="left"/>
    </xf>
    <xf numFmtId="164" fontId="0" fillId="0" borderId="10" xfId="1" applyNumberFormat="1" applyFont="1" applyBorder="1" applyAlignment="1">
      <alignment horizontal="left"/>
    </xf>
    <xf numFmtId="164" fontId="0" fillId="0" borderId="10" xfId="1" applyNumberFormat="1" applyFont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164" fontId="16" fillId="36" borderId="10" xfId="1" applyNumberFormat="1" applyFont="1" applyFill="1" applyBorder="1" applyAlignment="1">
      <alignment horizontal="center"/>
    </xf>
    <xf numFmtId="164" fontId="16" fillId="33" borderId="10" xfId="1" applyNumberFormat="1" applyFont="1" applyFill="1" applyBorder="1" applyAlignment="1">
      <alignment horizontal="left"/>
    </xf>
    <xf numFmtId="164" fontId="0" fillId="37" borderId="10" xfId="1" applyNumberFormat="1" applyFont="1" applyFill="1" applyBorder="1" applyAlignment="1">
      <alignment horizontal="center"/>
    </xf>
    <xf numFmtId="9" fontId="16" fillId="33" borderId="10" xfId="0" applyNumberFormat="1" applyFont="1" applyFill="1" applyBorder="1" applyAlignment="1">
      <alignment horizontal="center"/>
    </xf>
    <xf numFmtId="164" fontId="0" fillId="0" borderId="10" xfId="0" applyNumberFormat="1" applyFill="1" applyBorder="1"/>
    <xf numFmtId="164" fontId="16" fillId="33" borderId="10" xfId="1" applyNumberFormat="1" applyFont="1" applyFill="1" applyBorder="1" applyAlignment="1">
      <alignment horizontal="right"/>
    </xf>
    <xf numFmtId="164" fontId="0" fillId="37" borderId="10" xfId="1" applyNumberFormat="1" applyFont="1" applyFill="1" applyBorder="1" applyAlignment="1">
      <alignment horizontal="right"/>
    </xf>
    <xf numFmtId="9" fontId="0" fillId="37" borderId="10" xfId="2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2" fontId="0" fillId="0" borderId="10" xfId="0" applyNumberFormat="1" applyFill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9" fontId="0" fillId="0" borderId="10" xfId="2" applyFont="1" applyFill="1" applyBorder="1"/>
    <xf numFmtId="164" fontId="0" fillId="35" borderId="10" xfId="1" applyNumberFormat="1" applyFont="1" applyFill="1" applyBorder="1" applyAlignment="1">
      <alignment horizontal="right"/>
    </xf>
    <xf numFmtId="167" fontId="0" fillId="0" borderId="0" xfId="1" applyNumberFormat="1" applyFont="1"/>
    <xf numFmtId="164" fontId="0" fillId="35" borderId="10" xfId="1" applyNumberFormat="1" applyFont="1" applyFill="1" applyBorder="1" applyAlignment="1">
      <alignment horizontal="left"/>
    </xf>
    <xf numFmtId="164" fontId="0" fillId="35" borderId="10" xfId="1" applyNumberFormat="1" applyFont="1" applyFill="1" applyBorder="1"/>
    <xf numFmtId="164" fontId="0" fillId="0" borderId="0" xfId="1" applyNumberFormat="1" applyFont="1"/>
    <xf numFmtId="164" fontId="0" fillId="0" borderId="0" xfId="0" applyNumberFormat="1"/>
    <xf numFmtId="164" fontId="16" fillId="0" borderId="10" xfId="1" applyNumberFormat="1" applyFont="1" applyBorder="1" applyAlignment="1">
      <alignment horizontal="left"/>
    </xf>
    <xf numFmtId="165" fontId="16" fillId="0" borderId="10" xfId="1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164" fontId="0" fillId="0" borderId="10" xfId="1" applyNumberFormat="1" applyFont="1" applyFill="1" applyBorder="1" applyAlignment="1">
      <alignment horizontal="left"/>
    </xf>
    <xf numFmtId="164" fontId="16" fillId="41" borderId="10" xfId="1" applyNumberFormat="1" applyFont="1" applyFill="1" applyBorder="1" applyAlignment="1">
      <alignment horizontal="center" vertical="center" wrapText="1"/>
    </xf>
    <xf numFmtId="164" fontId="16" fillId="40" borderId="10" xfId="1" applyNumberFormat="1" applyFont="1" applyFill="1" applyBorder="1" applyAlignment="1">
      <alignment horizontal="center" vertical="center" wrapText="1"/>
    </xf>
    <xf numFmtId="164" fontId="16" fillId="39" borderId="10" xfId="1" applyNumberFormat="1" applyFont="1" applyFill="1" applyBorder="1" applyAlignment="1">
      <alignment horizontal="center" vertical="center" wrapText="1"/>
    </xf>
    <xf numFmtId="164" fontId="16" fillId="34" borderId="10" xfId="1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164" fontId="13" fillId="42" borderId="10" xfId="1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165" fontId="0" fillId="37" borderId="10" xfId="1" applyNumberFormat="1" applyFont="1" applyFill="1" applyBorder="1" applyAlignment="1">
      <alignment horizontal="center"/>
    </xf>
    <xf numFmtId="165" fontId="0" fillId="37" borderId="10" xfId="1" applyNumberFormat="1" applyFont="1" applyFill="1" applyBorder="1"/>
    <xf numFmtId="165" fontId="0" fillId="37" borderId="10" xfId="1" applyNumberFormat="1" applyFont="1" applyFill="1" applyBorder="1" applyAlignment="1">
      <alignment horizontal="right"/>
    </xf>
    <xf numFmtId="164" fontId="0" fillId="0" borderId="13" xfId="1" applyNumberFormat="1" applyFont="1" applyFill="1" applyBorder="1" applyAlignment="1">
      <alignment horizontal="left"/>
    </xf>
    <xf numFmtId="9" fontId="0" fillId="37" borderId="13" xfId="2" applyFont="1" applyFill="1" applyBorder="1" applyAlignment="1">
      <alignment horizontal="right"/>
    </xf>
    <xf numFmtId="9" fontId="0" fillId="37" borderId="13" xfId="2" applyFont="1" applyFill="1" applyBorder="1"/>
    <xf numFmtId="9" fontId="0" fillId="37" borderId="10" xfId="2" applyFont="1" applyFill="1" applyBorder="1"/>
    <xf numFmtId="164" fontId="0" fillId="38" borderId="11" xfId="1" applyNumberFormat="1" applyFont="1" applyFill="1" applyBorder="1" applyAlignment="1">
      <alignment horizontal="center" vertical="center" wrapText="1"/>
    </xf>
    <xf numFmtId="164" fontId="0" fillId="38" borderId="0" xfId="1" applyNumberFormat="1" applyFont="1" applyFill="1" applyBorder="1" applyAlignment="1">
      <alignment horizontal="center" vertical="center" wrapText="1"/>
    </xf>
    <xf numFmtId="164" fontId="0" fillId="38" borderId="12" xfId="1" applyNumberFormat="1" applyFont="1" applyFill="1" applyBorder="1" applyAlignment="1">
      <alignment horizontal="center" vertical="center" wrapText="1"/>
    </xf>
    <xf numFmtId="164" fontId="0" fillId="39" borderId="10" xfId="1" applyNumberFormat="1" applyFont="1" applyFill="1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4" fontId="0" fillId="0" borderId="0" xfId="1" applyNumberFormat="1" applyFont="1" applyBorder="1" applyAlignment="1">
      <alignment horizont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 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D7D31"/>
      <color rgb="FFA5A5A5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Annual</a:t>
            </a:r>
            <a:r>
              <a:rPr lang="en-US" b="1" baseline="0"/>
              <a:t> Average Daily Traffic</a:t>
            </a:r>
          </a:p>
          <a:p>
            <a:pPr>
              <a:defRPr b="1"/>
            </a:pPr>
            <a:r>
              <a:rPr lang="en-US" sz="1050" b="0" baseline="0"/>
              <a:t>Vehicles/hour</a:t>
            </a:r>
            <a:endParaRPr lang="en-US" sz="105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Calculation!$E$1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Calculation!$D$2:$D$25</c:f>
              <c:numCache>
                <c:formatCode>h:mm</c:formatCode>
                <c:ptCount val="24"/>
                <c:pt idx="0">
                  <c:v>0</c:v>
                </c:pt>
                <c:pt idx="1">
                  <c:v>4.1666666666666664E-2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0.45833333333333298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0.58333333333333304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0.70833333333333304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0.83333333333333304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0.95833333333333304</c:v>
                </c:pt>
              </c:numCache>
            </c:numRef>
          </c:cat>
          <c:val>
            <c:numRef>
              <c:f>Calculation!$E$2:$E$25</c:f>
              <c:numCache>
                <c:formatCode>_-* #\ ##0_-;\-* #\ ##0_-;_-* "-"??_-;_-@_-</c:formatCode>
                <c:ptCount val="24"/>
                <c:pt idx="0">
                  <c:v>17.293838862559241</c:v>
                </c:pt>
                <c:pt idx="1">
                  <c:v>11.544233807266982</c:v>
                </c:pt>
                <c:pt idx="2">
                  <c:v>8.6169036334913116</c:v>
                </c:pt>
                <c:pt idx="3">
                  <c:v>7.6113744075829386</c:v>
                </c:pt>
                <c:pt idx="4">
                  <c:v>13.016587677725118</c:v>
                </c:pt>
                <c:pt idx="5">
                  <c:v>50.349921011058456</c:v>
                </c:pt>
                <c:pt idx="6">
                  <c:v>94.556872037914687</c:v>
                </c:pt>
                <c:pt idx="7">
                  <c:v>136.58372827804109</c:v>
                </c:pt>
                <c:pt idx="8">
                  <c:v>128.64687252573239</c:v>
                </c:pt>
                <c:pt idx="9">
                  <c:v>127.96832937450516</c:v>
                </c:pt>
                <c:pt idx="10">
                  <c:v>154.76088677751386</c:v>
                </c:pt>
                <c:pt idx="11">
                  <c:v>186.20031670625497</c:v>
                </c:pt>
                <c:pt idx="12">
                  <c:v>206.15914489311163</c:v>
                </c:pt>
                <c:pt idx="13">
                  <c:v>225.61361836896279</c:v>
                </c:pt>
                <c:pt idx="14">
                  <c:v>246.19477434679334</c:v>
                </c:pt>
                <c:pt idx="15">
                  <c:v>284.99762470308787</c:v>
                </c:pt>
                <c:pt idx="16">
                  <c:v>269.2145684877276</c:v>
                </c:pt>
                <c:pt idx="17">
                  <c:v>222.01108471892317</c:v>
                </c:pt>
                <c:pt idx="18">
                  <c:v>182.13143309580366</c:v>
                </c:pt>
                <c:pt idx="19">
                  <c:v>142.71575613618367</c:v>
                </c:pt>
                <c:pt idx="20">
                  <c:v>105.94220110847191</c:v>
                </c:pt>
                <c:pt idx="21">
                  <c:v>76.587490102929536</c:v>
                </c:pt>
                <c:pt idx="22">
                  <c:v>51.09817893903405</c:v>
                </c:pt>
                <c:pt idx="23">
                  <c:v>30.37450514647664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9E-024B-B998-A1572683A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27"/>
        <c:axId val="93071776"/>
        <c:axId val="93083568"/>
      </c:barChart>
      <c:catAx>
        <c:axId val="9307177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93083568"/>
        <c:crosses val="autoZero"/>
        <c:auto val="1"/>
        <c:lblAlgn val="ctr"/>
        <c:lblOffset val="100"/>
        <c:noMultiLvlLbl val="0"/>
      </c:catAx>
      <c:valAx>
        <c:axId val="9308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Vehicles/hour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9307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400">
                <a:solidFill>
                  <a:schemeClr val="tx1"/>
                </a:solidFill>
              </a:rPr>
              <a:t>Yearly consumption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803-574E-BCAE-E105396811D9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8803-574E-BCAE-E105396811D9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803-574E-BCAE-E105396811D9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803-574E-BCAE-E105396811D9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803-574E-BCAE-E105396811D9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803-574E-BCAE-E105396811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Calculation!$B$30:$G$30</c:f>
              <c:strCache>
                <c:ptCount val="6"/>
                <c:pt idx="0">
                  <c:v> 200W </c:v>
                </c:pt>
                <c:pt idx="1">
                  <c:v> LED 120W full light </c:v>
                </c:pt>
                <c:pt idx="2">
                  <c:v> LED 120W 67% MPD 6hr </c:v>
                </c:pt>
                <c:pt idx="3">
                  <c:v> LED 120W 50% MPD 6hr </c:v>
                </c:pt>
                <c:pt idx="4">
                  <c:v> LED 120W 50% MPD 8hr </c:v>
                </c:pt>
                <c:pt idx="5">
                  <c:v>LED 120W &amp; Comlight</c:v>
                </c:pt>
              </c:strCache>
            </c:strRef>
          </c:cat>
          <c:val>
            <c:numRef>
              <c:f>Calculation!$B$37:$G$37</c:f>
              <c:numCache>
                <c:formatCode>_-* #\ ##0_-;\-* #\ ##0_-;_-* "-"??_-;_-@_-</c:formatCode>
                <c:ptCount val="6"/>
                <c:pt idx="0">
                  <c:v>80300</c:v>
                </c:pt>
                <c:pt idx="1">
                  <c:v>48180</c:v>
                </c:pt>
                <c:pt idx="2">
                  <c:v>39507.600000000006</c:v>
                </c:pt>
                <c:pt idx="3">
                  <c:v>35040</c:v>
                </c:pt>
                <c:pt idx="4">
                  <c:v>30660</c:v>
                </c:pt>
                <c:pt idx="5">
                  <c:v>16727.080229679581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3-574E-BCAE-E10539681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877136"/>
        <c:axId val="88235136"/>
      </c:barChart>
      <c:lineChart>
        <c:grouping val="standard"/>
        <c:varyColors val="0"/>
        <c:ser>
          <c:idx val="1"/>
          <c:order val="1"/>
          <c:tx>
            <c:strRef>
              <c:f>Calculation!$A$39</c:f>
              <c:strCache>
                <c:ptCount val="1"/>
                <c:pt idx="0">
                  <c:v> Comlight factor </c:v>
                </c:pt>
              </c:strCache>
            </c:strRef>
          </c:tx>
          <c:spPr>
            <a:ln w="698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ED7D3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NO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Calculation!$B$39:$G$39</c:f>
              <c:numCache>
                <c:formatCode>_-* #\ ##0.0_-;\-* #\ ##0.0_-;_-* "-"??_-;_-@_-</c:formatCode>
                <c:ptCount val="6"/>
                <c:pt idx="0">
                  <c:v>4.8005987235907579</c:v>
                </c:pt>
                <c:pt idx="1">
                  <c:v>2.8803592341544548</c:v>
                </c:pt>
                <c:pt idx="2">
                  <c:v>2.3618945720066531</c:v>
                </c:pt>
                <c:pt idx="3">
                  <c:v>2.0948067157486943</c:v>
                </c:pt>
                <c:pt idx="4">
                  <c:v>1.8329558762801077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803-574E-BCAE-E10539681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55824"/>
        <c:axId val="73393904"/>
      </c:lineChart>
      <c:catAx>
        <c:axId val="10087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88235136"/>
        <c:crosses val="autoZero"/>
        <c:auto val="1"/>
        <c:lblAlgn val="ctr"/>
        <c:lblOffset val="100"/>
        <c:noMultiLvlLbl val="0"/>
      </c:catAx>
      <c:valAx>
        <c:axId val="8823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00877136"/>
        <c:crosses val="autoZero"/>
        <c:crossBetween val="between"/>
      </c:valAx>
      <c:valAx>
        <c:axId val="73393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ED7D3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>
                    <a:solidFill>
                      <a:srgbClr val="ED7D31"/>
                    </a:solidFill>
                  </a:rPr>
                  <a:t>X Comlight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rgbClr val="ED7D31"/>
                  </a:solidFill>
                  <a:latin typeface="+mn-lt"/>
                  <a:ea typeface="+mn-ea"/>
                  <a:cs typeface="+mn-cs"/>
                </a:defRPr>
              </a:pPr>
              <a:endParaRPr lang="en-NO"/>
            </a:p>
          </c:txPr>
        </c:title>
        <c:numFmt formatCode="_-* #\ ##0.0_-;\-* #\ ##0.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ED7D31"/>
                </a:solidFill>
                <a:latin typeface="+mn-lt"/>
                <a:ea typeface="+mn-ea"/>
                <a:cs typeface="+mn-cs"/>
              </a:defRPr>
            </a:pPr>
            <a:endParaRPr lang="en-NO"/>
          </a:p>
        </c:txPr>
        <c:crossAx val="117355824"/>
        <c:crosses val="max"/>
        <c:crossBetween val="between"/>
      </c:valAx>
      <c:catAx>
        <c:axId val="11735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73393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50132</xdr:colOff>
      <xdr:row>11</xdr:row>
      <xdr:rowOff>1</xdr:rowOff>
    </xdr:from>
    <xdr:to>
      <xdr:col>2</xdr:col>
      <xdr:colOff>824845</xdr:colOff>
      <xdr:row>15</xdr:row>
      <xdr:rowOff>11760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8EF69929-9003-3045-AD4B-45EA9691D992}"/>
            </a:ext>
          </a:extLst>
        </xdr:cNvPr>
        <xdr:cNvSpPr/>
      </xdr:nvSpPr>
      <xdr:spPr>
        <a:xfrm>
          <a:off x="2472297" y="2304331"/>
          <a:ext cx="774713" cy="849697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42349</xdr:colOff>
      <xdr:row>27</xdr:row>
      <xdr:rowOff>148153</xdr:rowOff>
    </xdr:from>
    <xdr:to>
      <xdr:col>7</xdr:col>
      <xdr:colOff>660327</xdr:colOff>
      <xdr:row>29</xdr:row>
      <xdr:rowOff>487592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EF22CCD1-DB99-CC48-9878-B91F1E94A7CB}"/>
            </a:ext>
          </a:extLst>
        </xdr:cNvPr>
        <xdr:cNvSpPr/>
      </xdr:nvSpPr>
      <xdr:spPr>
        <a:xfrm rot="8117087">
          <a:off x="6715485" y="5423538"/>
          <a:ext cx="617978" cy="745237"/>
        </a:xfrm>
        <a:prstGeom prst="rightArrow">
          <a:avLst>
            <a:gd name="adj1" fmla="val 50000"/>
            <a:gd name="adj2" fmla="val 58744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103431</xdr:colOff>
      <xdr:row>0</xdr:row>
      <xdr:rowOff>11650</xdr:rowOff>
    </xdr:from>
    <xdr:to>
      <xdr:col>11</xdr:col>
      <xdr:colOff>1226948</xdr:colOff>
      <xdr:row>19</xdr:row>
      <xdr:rowOff>182966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2C17D1-3C87-7147-8464-25069C7398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109977</xdr:colOff>
      <xdr:row>20</xdr:row>
      <xdr:rowOff>86101</xdr:rowOff>
    </xdr:from>
    <xdr:to>
      <xdr:col>11</xdr:col>
      <xdr:colOff>1216187</xdr:colOff>
      <xdr:row>39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7D6F331-D76E-3042-97B7-669F7493BD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D3D02-E276-7547-9EFA-564BA6DEC3D2}">
  <dimension ref="A1:L46"/>
  <sheetViews>
    <sheetView tabSelected="1" topLeftCell="A2" zoomScale="108" zoomScaleNormal="118" workbookViewId="0">
      <selection activeCell="I42" sqref="I42"/>
    </sheetView>
  </sheetViews>
  <sheetFormatPr baseColWidth="10" defaultColWidth="20.83203125" defaultRowHeight="16" x14ac:dyDescent="0.2"/>
  <cols>
    <col min="1" max="1" width="20" style="4" customWidth="1"/>
    <col min="2" max="2" width="11.1640625" style="16" customWidth="1"/>
    <col min="3" max="7" width="11.1640625" customWidth="1"/>
    <col min="8" max="8" width="9.83203125" customWidth="1"/>
  </cols>
  <sheetData>
    <row r="1" spans="1:12" x14ac:dyDescent="0.2">
      <c r="A1" s="9" t="s">
        <v>0</v>
      </c>
      <c r="B1" s="13" t="s">
        <v>1</v>
      </c>
      <c r="D1" s="37" t="s">
        <v>2</v>
      </c>
      <c r="E1" s="7" t="s">
        <v>3</v>
      </c>
      <c r="F1" s="8" t="s">
        <v>4</v>
      </c>
      <c r="G1" s="7" t="s">
        <v>5</v>
      </c>
      <c r="H1" s="37" t="s">
        <v>6</v>
      </c>
    </row>
    <row r="2" spans="1:12" x14ac:dyDescent="0.2">
      <c r="A2" s="1" t="s">
        <v>7</v>
      </c>
      <c r="B2" s="14">
        <v>120</v>
      </c>
      <c r="D2" s="2">
        <v>0</v>
      </c>
      <c r="E2" s="24">
        <v>17.293838862559241</v>
      </c>
      <c r="F2" s="10" t="s">
        <v>8</v>
      </c>
      <c r="G2" s="12">
        <f>IF(UPPER(F2)="Y",IF((1-$B$17)*E2*Calculation!$B$15&lt;3600,(1-$B$17)*E2*Calculation!$B$15,3600),"")</f>
        <v>253.18180094786732</v>
      </c>
      <c r="H2" s="19">
        <f>IF(G2&lt;&gt;"",1-(G2/3600),"")</f>
        <v>0.92967172195892578</v>
      </c>
      <c r="I2" s="21"/>
      <c r="L2" s="25"/>
    </row>
    <row r="3" spans="1:12" x14ac:dyDescent="0.2">
      <c r="A3" s="1" t="s">
        <v>9</v>
      </c>
      <c r="B3" s="15">
        <v>1</v>
      </c>
      <c r="D3" s="2">
        <v>4.1666666666666664E-2</v>
      </c>
      <c r="E3" s="24">
        <v>11.544233807266982</v>
      </c>
      <c r="F3" s="10" t="s">
        <v>8</v>
      </c>
      <c r="G3" s="12">
        <f>IF(UPPER(F3)="Y",IF((1-$B$17)*E3*Calculation!$B$15&lt;3600,(1-$B$17)*E3*Calculation!$B$15,3600),"")</f>
        <v>169.00758293838862</v>
      </c>
      <c r="H3" s="19">
        <f t="shared" ref="H3:H25" si="0">IF(G3&lt;&gt;"",1-(G3/3600),"")</f>
        <v>0.95305344918378099</v>
      </c>
      <c r="I3" s="21"/>
      <c r="L3" s="25"/>
    </row>
    <row r="4" spans="1:12" x14ac:dyDescent="0.2">
      <c r="A4" s="1" t="s">
        <v>10</v>
      </c>
      <c r="B4" s="15">
        <v>0.2</v>
      </c>
      <c r="D4" s="2">
        <v>8.3333333333333301E-2</v>
      </c>
      <c r="E4" s="24">
        <v>8.6169036334913116</v>
      </c>
      <c r="F4" s="10" t="s">
        <v>8</v>
      </c>
      <c r="G4" s="12">
        <f>IF(UPPER(F4)="Y",IF((1-$B$17)*E4*Calculation!$B$15&lt;3600,(1-$B$17)*E4*Calculation!$B$15,3600),"")</f>
        <v>126.1514691943128</v>
      </c>
      <c r="H4" s="19">
        <f t="shared" si="0"/>
        <v>0.96495792522380197</v>
      </c>
      <c r="I4" s="21"/>
      <c r="L4" s="25"/>
    </row>
    <row r="5" spans="1:12" x14ac:dyDescent="0.2">
      <c r="A5" s="1" t="s">
        <v>11</v>
      </c>
      <c r="B5" s="20">
        <f>B2*B3</f>
        <v>120</v>
      </c>
      <c r="D5" s="2">
        <v>0.125</v>
      </c>
      <c r="E5" s="24">
        <v>7.6113744075829386</v>
      </c>
      <c r="F5" s="10" t="s">
        <v>8</v>
      </c>
      <c r="G5" s="12">
        <f>IF(UPPER(F5)="Y",IF((1-$B$17)*E5*Calculation!$B$15&lt;3600,(1-$B$17)*E5*Calculation!$B$15,3600),"")</f>
        <v>111.43052132701423</v>
      </c>
      <c r="H5" s="19">
        <f t="shared" si="0"/>
        <v>0.96904707740916274</v>
      </c>
      <c r="I5" s="21"/>
      <c r="L5" s="25"/>
    </row>
    <row r="6" spans="1:12" x14ac:dyDescent="0.2">
      <c r="A6" s="1" t="s">
        <v>12</v>
      </c>
      <c r="B6" s="20">
        <f>B2*B4</f>
        <v>24</v>
      </c>
      <c r="D6" s="2">
        <v>0.16666666666666699</v>
      </c>
      <c r="E6" s="24">
        <v>13.016587677725118</v>
      </c>
      <c r="F6" s="10" t="s">
        <v>8</v>
      </c>
      <c r="G6" s="12">
        <f>IF(UPPER(F6)="Y",IF((1-$B$17)*E6*Calculation!$B$15&lt;3600,(1-$B$17)*E6*Calculation!$B$15,3600),"")</f>
        <v>190.56284360189574</v>
      </c>
      <c r="H6" s="19">
        <f t="shared" si="0"/>
        <v>0.94706587677725118</v>
      </c>
      <c r="I6" s="21"/>
      <c r="L6" s="25"/>
    </row>
    <row r="7" spans="1:12" x14ac:dyDescent="0.2">
      <c r="A7" s="1" t="s">
        <v>13</v>
      </c>
      <c r="B7" s="14">
        <v>100</v>
      </c>
      <c r="D7" s="2">
        <v>0.20833333333333301</v>
      </c>
      <c r="E7" s="24">
        <v>50.349921011058456</v>
      </c>
      <c r="F7" s="10" t="s">
        <v>8</v>
      </c>
      <c r="G7" s="12">
        <f>IF(UPPER(F7)="Y",IF((1-$B$17)*E7*Calculation!$B$15&lt;3600,(1-$B$17)*E7*Calculation!$B$15,3600),"")</f>
        <v>737.12284360189574</v>
      </c>
      <c r="H7" s="19">
        <f t="shared" si="0"/>
        <v>0.79524365455502899</v>
      </c>
      <c r="I7" s="21"/>
      <c r="L7" s="25"/>
    </row>
    <row r="8" spans="1:12" x14ac:dyDescent="0.2">
      <c r="A8" s="1" t="s">
        <v>14</v>
      </c>
      <c r="B8" s="14">
        <v>100</v>
      </c>
      <c r="D8" s="2">
        <v>0.25</v>
      </c>
      <c r="E8" s="24">
        <v>94.556872037914687</v>
      </c>
      <c r="F8" s="10" t="s">
        <v>8</v>
      </c>
      <c r="G8" s="12">
        <f>IF(UPPER(F8)="Y",IF((1-$B$17)*E8*Calculation!$B$15&lt;3600,(1-$B$17)*E8*Calculation!$B$15,3600),"")</f>
        <v>1384.3126066350712</v>
      </c>
      <c r="H8" s="19">
        <f t="shared" si="0"/>
        <v>0.61546872037914691</v>
      </c>
      <c r="I8" s="21"/>
      <c r="L8" s="25"/>
    </row>
    <row r="9" spans="1:12" x14ac:dyDescent="0.2">
      <c r="A9" s="1" t="s">
        <v>15</v>
      </c>
      <c r="B9" s="14">
        <v>40</v>
      </c>
      <c r="D9" s="2">
        <v>0.29166666666666702</v>
      </c>
      <c r="E9" s="24">
        <v>136.58372827804109</v>
      </c>
      <c r="F9" s="10" t="s">
        <v>8</v>
      </c>
      <c r="G9" s="12">
        <f>IF(UPPER(F9)="Y",IF((1-$B$17)*E9*Calculation!$B$15&lt;3600,(1-$B$17)*E9*Calculation!$B$15,3600),"")</f>
        <v>1999.5857819905216</v>
      </c>
      <c r="H9" s="19">
        <f t="shared" si="0"/>
        <v>0.44455950500263286</v>
      </c>
      <c r="I9" s="21"/>
      <c r="L9" s="25"/>
    </row>
    <row r="10" spans="1:12" x14ac:dyDescent="0.2">
      <c r="A10" s="1" t="s">
        <v>16</v>
      </c>
      <c r="B10" s="14">
        <v>10</v>
      </c>
      <c r="D10" s="2">
        <v>0.33333333333333298</v>
      </c>
      <c r="E10" s="24">
        <v>128.64687252573239</v>
      </c>
      <c r="F10" s="10"/>
      <c r="G10" s="12" t="str">
        <f>IF(UPPER(F10)="Y",IF((1-$B$17)*E10*Calculation!$B$15&lt;3600,(1-$B$17)*E10*Calculation!$B$15,3600),"")</f>
        <v/>
      </c>
      <c r="H10" s="19" t="str">
        <f t="shared" si="0"/>
        <v/>
      </c>
      <c r="I10" s="21"/>
      <c r="L10" s="25"/>
    </row>
    <row r="11" spans="1:12" x14ac:dyDescent="0.2">
      <c r="A11" s="1" t="s">
        <v>17</v>
      </c>
      <c r="B11" s="14">
        <v>5</v>
      </c>
      <c r="D11" s="2">
        <v>0.375</v>
      </c>
      <c r="E11" s="24">
        <v>127.96832937450516</v>
      </c>
      <c r="F11" s="10"/>
      <c r="G11" s="12" t="str">
        <f>IF(UPPER(F11)="Y",IF((1-$B$17)*E11*Calculation!$B$15&lt;3600,(1-$B$17)*E11*Calculation!$B$15,3600),"")</f>
        <v/>
      </c>
      <c r="H11" s="19" t="str">
        <f t="shared" si="0"/>
        <v/>
      </c>
      <c r="I11" s="21"/>
      <c r="L11" s="25"/>
    </row>
    <row r="12" spans="1:12" x14ac:dyDescent="0.2">
      <c r="D12" s="2">
        <v>0.41666666666666702</v>
      </c>
      <c r="E12" s="24">
        <v>154.76088677751386</v>
      </c>
      <c r="F12" s="10"/>
      <c r="G12" s="12" t="str">
        <f>IF(UPPER(F12)="Y",IF((1-$B$17)*E12*Calculation!$B$15&lt;3600,(1-$B$17)*E12*Calculation!$B$15,3600),"")</f>
        <v/>
      </c>
      <c r="H12" s="19" t="str">
        <f t="shared" si="0"/>
        <v/>
      </c>
      <c r="I12" s="21"/>
      <c r="L12" s="25"/>
    </row>
    <row r="13" spans="1:12" x14ac:dyDescent="0.2">
      <c r="A13" s="1" t="s">
        <v>18</v>
      </c>
      <c r="B13" s="17">
        <f>B9/B8*3.6</f>
        <v>1.4400000000000002</v>
      </c>
      <c r="D13" s="2">
        <v>0.45833333333333298</v>
      </c>
      <c r="E13" s="24">
        <v>186.20031670625497</v>
      </c>
      <c r="F13" s="10"/>
      <c r="G13" s="12" t="str">
        <f>IF(UPPER(F13)="Y",IF((1-$B$17)*E13*Calculation!$B$15&lt;3600,(1-$B$17)*E13*Calculation!$B$15,3600),"")</f>
        <v/>
      </c>
      <c r="H13" s="19" t="str">
        <f t="shared" si="0"/>
        <v/>
      </c>
      <c r="I13" s="21"/>
      <c r="L13" s="25"/>
    </row>
    <row r="14" spans="1:12" x14ac:dyDescent="0.2">
      <c r="A14" s="1" t="s">
        <v>19</v>
      </c>
      <c r="B14" s="18">
        <f>B11*(B13*2)</f>
        <v>14.400000000000002</v>
      </c>
      <c r="D14" s="2">
        <v>0.5</v>
      </c>
      <c r="E14" s="24">
        <v>206.15914489311163</v>
      </c>
      <c r="F14" s="10"/>
      <c r="G14" s="12" t="str">
        <f>IF(UPPER(F14)="Y",IF((1-$B$17)*E14*Calculation!$B$15&lt;3600,(1-$B$17)*E14*Calculation!$B$15,3600),"")</f>
        <v/>
      </c>
      <c r="H14" s="19" t="str">
        <f t="shared" si="0"/>
        <v/>
      </c>
      <c r="I14" s="21"/>
      <c r="L14" s="25"/>
    </row>
    <row r="15" spans="1:12" x14ac:dyDescent="0.2">
      <c r="A15" s="1" t="s">
        <v>20</v>
      </c>
      <c r="B15" s="18">
        <f>B14+B10</f>
        <v>24.400000000000002</v>
      </c>
      <c r="D15" s="2">
        <v>0.54166666666666696</v>
      </c>
      <c r="E15" s="24">
        <v>225.61361836896279</v>
      </c>
      <c r="F15" s="10"/>
      <c r="G15" s="12" t="str">
        <f>IF(UPPER(F15)="Y",IF((1-$B$17)*E15*Calculation!$B$15&lt;3600,(1-$B$17)*E15*Calculation!$B$15,3600),"")</f>
        <v/>
      </c>
      <c r="H15" s="19" t="str">
        <f t="shared" si="0"/>
        <v/>
      </c>
      <c r="I15" s="21"/>
      <c r="L15" s="25"/>
    </row>
    <row r="16" spans="1:12" x14ac:dyDescent="0.2">
      <c r="D16" s="2">
        <v>0.58333333333333304</v>
      </c>
      <c r="E16" s="24">
        <v>246.19477434679334</v>
      </c>
      <c r="F16" s="10"/>
      <c r="G16" s="12" t="str">
        <f>IF(UPPER(F16)="Y",IF((1-$B$17)*E16*Calculation!$B$15&lt;3600,(1-$B$17)*E16*Calculation!$B$15,3600),"")</f>
        <v/>
      </c>
      <c r="H16" s="19" t="str">
        <f t="shared" si="0"/>
        <v/>
      </c>
      <c r="I16" s="21"/>
      <c r="L16" s="25"/>
    </row>
    <row r="17" spans="1:12" x14ac:dyDescent="0.2">
      <c r="A17" s="5" t="s">
        <v>21</v>
      </c>
      <c r="B17" s="15">
        <v>0.4</v>
      </c>
      <c r="D17" s="2">
        <v>0.625</v>
      </c>
      <c r="E17" s="24">
        <v>284.99762470308787</v>
      </c>
      <c r="F17" s="10"/>
      <c r="G17" s="12" t="str">
        <f>IF(UPPER(F17)="Y",IF((1-$B$17)*E17*Calculation!$B$15&lt;3600,(1-$B$17)*E17*Calculation!$B$15,3600),"")</f>
        <v/>
      </c>
      <c r="H17" s="19" t="str">
        <f t="shared" si="0"/>
        <v/>
      </c>
      <c r="I17" s="21"/>
      <c r="L17" s="25"/>
    </row>
    <row r="18" spans="1:12" x14ac:dyDescent="0.2">
      <c r="A18" s="45" t="s">
        <v>30</v>
      </c>
      <c r="B18" s="45"/>
      <c r="D18" s="2">
        <v>0.66666666666666696</v>
      </c>
      <c r="E18" s="24">
        <v>269.2145684877276</v>
      </c>
      <c r="F18" s="10"/>
      <c r="G18" s="12" t="str">
        <f>IF(UPPER(F18)="Y",IF((1-$B$17)*E18*Calculation!$B$15&lt;3600,(1-$B$17)*E18*Calculation!$B$15,3600),"")</f>
        <v/>
      </c>
      <c r="H18" s="19" t="str">
        <f t="shared" si="0"/>
        <v/>
      </c>
      <c r="I18" s="21"/>
      <c r="L18" s="25"/>
    </row>
    <row r="19" spans="1:12" x14ac:dyDescent="0.2">
      <c r="A19" s="46"/>
      <c r="B19" s="46"/>
      <c r="D19" s="2">
        <v>0.70833333333333304</v>
      </c>
      <c r="E19" s="24">
        <v>222.01108471892317</v>
      </c>
      <c r="F19" s="10"/>
      <c r="G19" s="12" t="str">
        <f>IF(UPPER(F19)="Y",IF((1-$B$17)*E19*Calculation!$B$15&lt;3600,(1-$B$17)*E19*Calculation!$B$15,3600),"")</f>
        <v/>
      </c>
      <c r="H19" s="19" t="str">
        <f t="shared" si="0"/>
        <v/>
      </c>
      <c r="I19" s="21"/>
      <c r="L19" s="25"/>
    </row>
    <row r="20" spans="1:12" x14ac:dyDescent="0.2">
      <c r="A20" s="46"/>
      <c r="B20" s="46"/>
      <c r="D20" s="2">
        <v>0.75</v>
      </c>
      <c r="E20" s="24">
        <v>182.13143309580366</v>
      </c>
      <c r="F20" s="10"/>
      <c r="G20" s="12" t="str">
        <f>IF(UPPER(F20)="Y",IF((1-$B$17)*E20*Calculation!$B$15&lt;3600,(1-$B$17)*E20*Calculation!$B$15,3600),"")</f>
        <v/>
      </c>
      <c r="H20" s="19" t="str">
        <f t="shared" si="0"/>
        <v/>
      </c>
      <c r="I20" s="21"/>
      <c r="L20" s="25"/>
    </row>
    <row r="21" spans="1:12" x14ac:dyDescent="0.2">
      <c r="A21" s="46"/>
      <c r="B21" s="46"/>
      <c r="D21" s="2">
        <v>0.79166666666666696</v>
      </c>
      <c r="E21" s="24">
        <v>142.71575613618367</v>
      </c>
      <c r="F21" s="10"/>
      <c r="G21" s="12" t="str">
        <f>IF(UPPER(F21)="Y",IF((1-$B$17)*E21*Calculation!$B$15&lt;3600,(1-$B$17)*E21*Calculation!$B$15,3600),"")</f>
        <v/>
      </c>
      <c r="H21" s="19" t="str">
        <f t="shared" si="0"/>
        <v/>
      </c>
      <c r="I21" s="21"/>
      <c r="L21" s="25"/>
    </row>
    <row r="22" spans="1:12" x14ac:dyDescent="0.2">
      <c r="A22" s="46"/>
      <c r="B22" s="46"/>
      <c r="D22" s="2">
        <v>0.83333333333333304</v>
      </c>
      <c r="E22" s="24">
        <v>105.94220110847191</v>
      </c>
      <c r="F22" s="10"/>
      <c r="G22" s="12" t="str">
        <f>IF(UPPER(F22)="Y",IF((1-$B$17)*E22*Calculation!$B$15&lt;3600,(1-$B$17)*E22*Calculation!$B$15,3600),"")</f>
        <v/>
      </c>
      <c r="H22" s="19" t="str">
        <f t="shared" si="0"/>
        <v/>
      </c>
      <c r="I22" s="21"/>
      <c r="L22" s="25"/>
    </row>
    <row r="23" spans="1:12" x14ac:dyDescent="0.2">
      <c r="A23" s="46"/>
      <c r="B23" s="46"/>
      <c r="D23" s="2">
        <v>0.875</v>
      </c>
      <c r="E23" s="24">
        <v>76.587490102929536</v>
      </c>
      <c r="F23" s="10" t="s">
        <v>8</v>
      </c>
      <c r="G23" s="12">
        <f>IF(UPPER(F23)="Y",IF((1-$B$17)*E23*Calculation!$B$15&lt;3600,(1-$B$17)*E23*Calculation!$B$15,3600),"")</f>
        <v>1121.2408551068884</v>
      </c>
      <c r="H23" s="19">
        <f t="shared" si="0"/>
        <v>0.68854420691475315</v>
      </c>
      <c r="I23" s="21"/>
      <c r="L23" s="25"/>
    </row>
    <row r="24" spans="1:12" x14ac:dyDescent="0.2">
      <c r="A24" s="46"/>
      <c r="B24" s="46"/>
      <c r="D24" s="2">
        <v>0.91666666666666696</v>
      </c>
      <c r="E24" s="24">
        <v>51.09817893903405</v>
      </c>
      <c r="F24" s="10" t="s">
        <v>8</v>
      </c>
      <c r="G24" s="12">
        <f>IF(UPPER(F24)="Y",IF((1-$B$17)*E24*Calculation!$B$15&lt;3600,(1-$B$17)*E24*Calculation!$B$15,3600),"")</f>
        <v>748.07733966745855</v>
      </c>
      <c r="H24" s="19">
        <f t="shared" si="0"/>
        <v>0.79220073898126153</v>
      </c>
      <c r="I24" s="21"/>
      <c r="L24" s="25"/>
    </row>
    <row r="25" spans="1:12" x14ac:dyDescent="0.2">
      <c r="A25" s="46"/>
      <c r="B25" s="46"/>
      <c r="D25" s="2">
        <v>0.95833333333333304</v>
      </c>
      <c r="E25" s="24">
        <v>30.37450514647664</v>
      </c>
      <c r="F25" s="10" t="s">
        <v>8</v>
      </c>
      <c r="G25" s="12">
        <f>IF(UPPER(F25)="Y",IF((1-$B$17)*E25*Calculation!$B$15&lt;3600,(1-$B$17)*E25*Calculation!$B$15,3600),"")</f>
        <v>444.68275534441807</v>
      </c>
      <c r="H25" s="19">
        <f t="shared" si="0"/>
        <v>0.87647701240432829</v>
      </c>
      <c r="I25" s="21"/>
      <c r="L25" s="25"/>
    </row>
    <row r="26" spans="1:12" x14ac:dyDescent="0.2">
      <c r="A26" s="47"/>
      <c r="B26" s="47"/>
      <c r="D26" s="28" t="s">
        <v>32</v>
      </c>
      <c r="E26" s="3">
        <f>SUM(E2:E25)</f>
        <v>2980.1902451471519</v>
      </c>
      <c r="F26" s="6">
        <f>COUNTIF(F2:F25,"Y")</f>
        <v>11</v>
      </c>
      <c r="G26" s="11" t="s">
        <v>22</v>
      </c>
      <c r="H26" s="11">
        <f>AVERAGE(H2:H25)</f>
        <v>0.81602635352637032</v>
      </c>
      <c r="I26" s="21"/>
    </row>
    <row r="27" spans="1:12" x14ac:dyDescent="0.2">
      <c r="A27"/>
      <c r="B27"/>
      <c r="D27" s="49"/>
      <c r="E27" s="50"/>
      <c r="F27" s="51"/>
      <c r="G27" s="51"/>
      <c r="H27" s="51"/>
      <c r="I27" s="21"/>
    </row>
    <row r="28" spans="1:12" x14ac:dyDescent="0.2">
      <c r="A28" s="48" t="s">
        <v>31</v>
      </c>
      <c r="B28" s="36">
        <v>200</v>
      </c>
    </row>
    <row r="29" spans="1:12" ht="16" customHeight="1" x14ac:dyDescent="0.2"/>
    <row r="30" spans="1:12" ht="51" x14ac:dyDescent="0.2">
      <c r="A30" s="5"/>
      <c r="B30" s="35" t="str">
        <f>B28&amp;"W"</f>
        <v>200W</v>
      </c>
      <c r="C30" s="30" t="str">
        <f>"LED " &amp; B2 &amp;"W full light"</f>
        <v>LED 120W full light</v>
      </c>
      <c r="D30" s="31" t="str">
        <f>"LED " &amp; $B$2 &amp;"W "&amp;TEXT(D31,"0%")&amp;" MPD " &amp; D33 &amp; "hr"</f>
        <v>LED 120W 67% MPD 6hr</v>
      </c>
      <c r="E30" s="32" t="str">
        <f>"LED " &amp; $B$2 &amp;"W "&amp;TEXT(E31,"0%")&amp;" MPD " &amp; E33 &amp; "hr"</f>
        <v>LED 120W 50% MPD 6hr</v>
      </c>
      <c r="F30" s="33" t="str">
        <f>"LED " &amp; $B$2 &amp;"W "&amp;TEXT(F31,"0%")&amp;" MPD " &amp; F33 &amp; "hr"</f>
        <v>LED 120W 50% MPD 8hr</v>
      </c>
      <c r="G30" s="34" t="str">
        <f>"LED " &amp; B2 &amp;"W &amp; Comlight"</f>
        <v>LED 120W &amp; Comlight</v>
      </c>
    </row>
    <row r="31" spans="1:12" x14ac:dyDescent="0.2">
      <c r="A31" s="41" t="s">
        <v>23</v>
      </c>
      <c r="B31" s="42">
        <v>0</v>
      </c>
      <c r="C31" s="42">
        <v>0</v>
      </c>
      <c r="D31" s="43">
        <v>0.67</v>
      </c>
      <c r="E31" s="43">
        <v>0.5</v>
      </c>
      <c r="F31" s="43">
        <v>0.5</v>
      </c>
      <c r="G31" s="43">
        <f>B4</f>
        <v>0.2</v>
      </c>
    </row>
    <row r="32" spans="1:12" x14ac:dyDescent="0.2">
      <c r="A32" s="29" t="s">
        <v>24</v>
      </c>
      <c r="B32" s="44">
        <v>1</v>
      </c>
      <c r="C32" s="44">
        <v>1</v>
      </c>
      <c r="D32" s="44">
        <v>1</v>
      </c>
      <c r="E32" s="44">
        <v>1</v>
      </c>
      <c r="F32" s="44">
        <v>1</v>
      </c>
      <c r="G32" s="44">
        <f>B3</f>
        <v>1</v>
      </c>
    </row>
    <row r="33" spans="1:10" x14ac:dyDescent="0.2">
      <c r="A33" s="29" t="s">
        <v>25</v>
      </c>
      <c r="B33" s="38">
        <v>0</v>
      </c>
      <c r="C33" s="38">
        <v>0</v>
      </c>
      <c r="D33" s="39">
        <v>6</v>
      </c>
      <c r="E33" s="39">
        <v>6</v>
      </c>
      <c r="F33" s="39">
        <v>8</v>
      </c>
      <c r="G33" s="39">
        <f>H26*F26</f>
        <v>8.9762898887900739</v>
      </c>
    </row>
    <row r="34" spans="1:10" x14ac:dyDescent="0.2">
      <c r="A34" s="29" t="s">
        <v>26</v>
      </c>
      <c r="B34" s="40">
        <f>F26</f>
        <v>11</v>
      </c>
      <c r="C34" s="40">
        <f>F26</f>
        <v>11</v>
      </c>
      <c r="D34" s="39">
        <v>5</v>
      </c>
      <c r="E34" s="39">
        <f>$F$26-E33</f>
        <v>5</v>
      </c>
      <c r="F34" s="39">
        <f>$F$26-F33</f>
        <v>3</v>
      </c>
      <c r="G34" s="39">
        <f>F26-G33</f>
        <v>2.0237101112099261</v>
      </c>
    </row>
    <row r="35" spans="1:10" x14ac:dyDescent="0.2">
      <c r="A35" s="22" t="s">
        <v>27</v>
      </c>
      <c r="B35" s="20">
        <f>365*$B$28*$B$7*B31*B33/1000</f>
        <v>0</v>
      </c>
      <c r="C35" s="20">
        <f>365*C31*C33*$B$2*$B$7/1000</f>
        <v>0</v>
      </c>
      <c r="D35" s="20">
        <f>365*D31*D33*$B$2*$B$7/1000</f>
        <v>17607.600000000002</v>
      </c>
      <c r="E35" s="20">
        <f t="shared" ref="E35:F35" si="1">365*E31*E33*$B$2*$B$7/1000</f>
        <v>13140</v>
      </c>
      <c r="F35" s="20">
        <f t="shared" si="1"/>
        <v>17520</v>
      </c>
      <c r="G35" s="20">
        <f t="shared" ref="G35:G36" si="2">365*G31*G33*$B$2*$B$7/1000</f>
        <v>7863.2299425801048</v>
      </c>
    </row>
    <row r="36" spans="1:10" x14ac:dyDescent="0.2">
      <c r="A36" s="22" t="s">
        <v>28</v>
      </c>
      <c r="B36" s="20">
        <f>365*$B$28*$B$7*B32*B34/1000</f>
        <v>80300</v>
      </c>
      <c r="C36" s="20">
        <f>365*C32*C34*$B$2*$B$7/1000</f>
        <v>48180</v>
      </c>
      <c r="D36" s="20">
        <f>365*D32*D34*$B$2*$B$7/1000</f>
        <v>21900</v>
      </c>
      <c r="E36" s="20">
        <f t="shared" ref="E36:F36" si="3">365*E32*E34*$B$2*$B$7/1000</f>
        <v>21900</v>
      </c>
      <c r="F36" s="20">
        <f t="shared" si="3"/>
        <v>13140</v>
      </c>
      <c r="G36" s="20">
        <f t="shared" si="2"/>
        <v>8863.8502870994744</v>
      </c>
    </row>
    <row r="37" spans="1:10" x14ac:dyDescent="0.2">
      <c r="A37" s="22" t="s">
        <v>29</v>
      </c>
      <c r="B37" s="23">
        <f>B36+B35</f>
        <v>80300</v>
      </c>
      <c r="C37" s="20">
        <f t="shared" ref="C37" si="4">C35+C36</f>
        <v>48180</v>
      </c>
      <c r="D37" s="20">
        <f>D35+D36</f>
        <v>39507.600000000006</v>
      </c>
      <c r="E37" s="20">
        <f>E35+E36</f>
        <v>35040</v>
      </c>
      <c r="F37" s="20">
        <f>F35+F36</f>
        <v>30660</v>
      </c>
      <c r="G37" s="20">
        <f>G35+G36</f>
        <v>16727.080229679581</v>
      </c>
    </row>
    <row r="39" spans="1:10" x14ac:dyDescent="0.2">
      <c r="A39" s="26" t="s">
        <v>33</v>
      </c>
      <c r="B39" s="27">
        <f t="shared" ref="B39:F39" si="5">B37/$G$37</f>
        <v>4.8005987235907579</v>
      </c>
      <c r="C39" s="27">
        <f t="shared" si="5"/>
        <v>2.8803592341544548</v>
      </c>
      <c r="D39" s="27">
        <f t="shared" si="5"/>
        <v>2.3618945720066531</v>
      </c>
      <c r="E39" s="27">
        <f t="shared" si="5"/>
        <v>2.0948067157486943</v>
      </c>
      <c r="F39" s="27">
        <f t="shared" si="5"/>
        <v>1.8329558762801077</v>
      </c>
      <c r="G39" s="27">
        <f>G37/$G$37</f>
        <v>1</v>
      </c>
    </row>
    <row r="40" spans="1:10" x14ac:dyDescent="0.2">
      <c r="A40"/>
      <c r="B40"/>
    </row>
    <row r="41" spans="1:10" x14ac:dyDescent="0.2"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">
      <c r="C42" s="16"/>
      <c r="D42" s="16"/>
      <c r="E42" s="16"/>
      <c r="F42" s="16"/>
      <c r="G42" s="16"/>
      <c r="H42" s="16"/>
    </row>
    <row r="43" spans="1:10" x14ac:dyDescent="0.2">
      <c r="C43" s="16"/>
      <c r="D43" s="16"/>
      <c r="E43" s="16"/>
      <c r="F43" s="16"/>
      <c r="G43" s="16"/>
      <c r="H43" s="16"/>
    </row>
    <row r="44" spans="1:10" x14ac:dyDescent="0.2">
      <c r="C44" s="16"/>
      <c r="D44" s="16"/>
      <c r="E44" s="16"/>
      <c r="F44" s="16"/>
    </row>
    <row r="45" spans="1:10" x14ac:dyDescent="0.2">
      <c r="C45" s="16"/>
      <c r="D45" s="16"/>
      <c r="E45" s="16"/>
      <c r="F45" s="16"/>
    </row>
    <row r="46" spans="1:10" x14ac:dyDescent="0.2">
      <c r="C46" s="16"/>
      <c r="D46" s="16"/>
      <c r="E46" s="16"/>
      <c r="F46" s="16"/>
    </row>
  </sheetData>
  <mergeCells count="1">
    <mergeCell ref="A18:B26"/>
  </mergeCells>
  <conditionalFormatting sqref="B1">
    <cfRule type="cellIs" dxfId="0" priority="1" operator="lessThan">
      <formula>60</formula>
    </cfRule>
  </conditionalFormatting>
  <pageMargins left="0.7" right="0.7" top="0.75" bottom="0.75" header="0.3" footer="0.3"/>
  <pageSetup paperSize="9" orientation="landscape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91E7EBEB1C644EB9D423F3D0FDADA4" ma:contentTypeVersion="10" ma:contentTypeDescription="Opprett et nytt dokument." ma:contentTypeScope="" ma:versionID="8aba836b1e10c9fd977d3ef4af170156">
  <xsd:schema xmlns:xsd="http://www.w3.org/2001/XMLSchema" xmlns:xs="http://www.w3.org/2001/XMLSchema" xmlns:p="http://schemas.microsoft.com/office/2006/metadata/properties" xmlns:ns2="62adcd10-5c9f-4b5b-baf0-8e2ab6f6d044" targetNamespace="http://schemas.microsoft.com/office/2006/metadata/properties" ma:root="true" ma:fieldsID="99e520480660e356fb6c66d03b188b6f" ns2:_="">
    <xsd:import namespace="62adcd10-5c9f-4b5b-baf0-8e2ab6f6d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adcd10-5c9f-4b5b-baf0-8e2ab6f6d0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B21BD8-E3C9-4212-9B4A-095FFC4CE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adcd10-5c9f-4b5b-baf0-8e2ab6f6d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5EBC85-375D-478F-BF30-7C608291D668}">
  <ds:schemaRefs>
    <ds:schemaRef ds:uri="http://purl.org/dc/terms/"/>
    <ds:schemaRef ds:uri="62adcd10-5c9f-4b5b-baf0-8e2ab6f6d044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7C261B-8048-4B42-AD14-A0081C3BCB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Olav Endrerud</dc:creator>
  <cp:keywords/>
  <dc:description/>
  <cp:lastModifiedBy>Microsoft Office User</cp:lastModifiedBy>
  <cp:revision/>
  <cp:lastPrinted>2021-02-12T07:41:10Z</cp:lastPrinted>
  <dcterms:created xsi:type="dcterms:W3CDTF">2020-05-23T17:31:07Z</dcterms:created>
  <dcterms:modified xsi:type="dcterms:W3CDTF">2021-02-25T19:14:23Z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0x0101005191E7EBEB1C644EB9D423F3D0FDADA4</vt:lpwstr>
  </property>
</Properties>
</file>